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NOP  Bandwidth Calculation" sheetId="1" r:id="rId1"/>
  </sheets>
  <definedNames/>
  <calcPr fullCalcOnLoad="1"/>
</workbook>
</file>

<file path=xl/sharedStrings.xml><?xml version="1.0" encoding="utf-8"?>
<sst xmlns="http://schemas.openxmlformats.org/spreadsheetml/2006/main" count="181" uniqueCount="98">
  <si>
    <t>No. of packets per second</t>
  </si>
  <si>
    <t>=</t>
  </si>
  <si>
    <t>Vr</t>
  </si>
  <si>
    <t>Ir</t>
  </si>
  <si>
    <t>G729a</t>
  </si>
  <si>
    <t>Sv</t>
  </si>
  <si>
    <t>G723.1 (5.3Kbps)</t>
  </si>
  <si>
    <t>G723.1 (6.3Kbps)</t>
  </si>
  <si>
    <t>G711</t>
  </si>
  <si>
    <t>Ss</t>
  </si>
  <si>
    <t>Voice/Silence ratio</t>
  </si>
  <si>
    <t>r</t>
  </si>
  <si>
    <t>VAD inactive</t>
  </si>
  <si>
    <t>IP packet rate</t>
  </si>
  <si>
    <t>IP packet rate - Ir</t>
  </si>
  <si>
    <t>Maximum no. of voice channels per bandwidth - N</t>
  </si>
  <si>
    <t>(W-O)/B</t>
  </si>
  <si>
    <t>Total IP packet size - I</t>
  </si>
  <si>
    <t>O, N will be recalculated</t>
  </si>
  <si>
    <t>The compression ratio - C</t>
  </si>
  <si>
    <t>N*64000/W</t>
  </si>
  <si>
    <t>G.723.1 (5.3Kbps) with VAD</t>
  </si>
  <si>
    <t>G.723.1 (5.3Kbps) without VAD</t>
  </si>
  <si>
    <t>Recalculated N</t>
  </si>
  <si>
    <t>G.723.1 (6.3Kbps) with VAD</t>
  </si>
  <si>
    <t>G.723.1 (6.3Kbps) without VAD</t>
  </si>
  <si>
    <t>G.729a (8Kbps) with VAD</t>
  </si>
  <si>
    <t>G.729a (8Kbps) without VAD</t>
  </si>
  <si>
    <t>Network Bandwidth - W (E1: 30 x 64Kbps)</t>
  </si>
  <si>
    <t>VAD (Voice Activity Detection) active</t>
  </si>
  <si>
    <t>VoIP Bandwidth Savings with NOP</t>
  </si>
  <si>
    <t xml:space="preserve">The calculations have been done for a variety of voice codecs. There are also two different silence treatments possible and these are shown for each codec. </t>
  </si>
  <si>
    <r>
      <t>Notes:</t>
    </r>
    <r>
      <rPr>
        <sz val="10"/>
        <rFont val="Arial"/>
        <family val="0"/>
      </rPr>
      <t xml:space="preserve"> The calculations below show the line utilisation when using WTL's NOP (Network Optimisation Protocol). </t>
    </r>
  </si>
  <si>
    <t>MOS</t>
  </si>
  <si>
    <t>G.723.1 (5.3Kbps) with VAD &amp; no silence pkts</t>
  </si>
  <si>
    <t>G723.1 (5.3Kbps) no silence pkt</t>
  </si>
  <si>
    <t>IP overhead for each packet (bytes) H323</t>
  </si>
  <si>
    <t>IP overhead for each packet (bytes) NOP</t>
  </si>
  <si>
    <t>NOP</t>
  </si>
  <si>
    <t>H323</t>
  </si>
  <si>
    <t>Other Codec voice samples normally 30mS long, therefore 33.3 generated per second</t>
  </si>
  <si>
    <t>G729 Voice samples normally 10mS long, therefore 100 generated per second</t>
  </si>
  <si>
    <t>If I &gt; 1200 (max. packet size), overhead increases. Only relevant for NOP case</t>
  </si>
  <si>
    <t>The last but one line shows the precise compression ration that is achieved (compared to regular TDM traffic). The final line shows the MOS score achieved in testing (where known)</t>
  </si>
  <si>
    <t>In order to reduce the amount of overhead some H323 equipment is set up to send 2 voice samples per IP packet. This increases delay and has not been included in this comparison.</t>
  </si>
  <si>
    <t>All other algorithms (default)</t>
  </si>
  <si>
    <t>The Calculations</t>
  </si>
  <si>
    <t>Not Available</t>
  </si>
  <si>
    <t>40*Ir</t>
  </si>
  <si>
    <t>Recalculated On</t>
  </si>
  <si>
    <t>Remember IP overhead on every voice packet for H323, many voice packets per IP overhead for NOP</t>
  </si>
  <si>
    <t>Therefore, Packet size must be calculated for both cases</t>
  </si>
  <si>
    <t>Voice packet size (bytes)</t>
  </si>
  <si>
    <t>Silence packet size (bytes)</t>
  </si>
  <si>
    <t xml:space="preserve">NOP micro header overhead (bytes) </t>
  </si>
  <si>
    <t>IP overhead per second - On (NOP)</t>
  </si>
  <si>
    <t>IP overhead per second - Oh (H323)</t>
  </si>
  <si>
    <t>G.723.1 (5.3Kbps) with VAD + silence pkt</t>
  </si>
  <si>
    <t>Average Bandwidth per voice call - B (bits per second)</t>
  </si>
  <si>
    <t>(W-On)/B</t>
  </si>
  <si>
    <t>Average voice packet size - Pn (bytes) NOP</t>
  </si>
  <si>
    <t>Average voice packet size - Ph (bytes) H323</t>
  </si>
  <si>
    <t>The corrected overhead - Ix</t>
  </si>
  <si>
    <t>The calculations have been done assuming the bandwidth of one E1 line is available</t>
  </si>
  <si>
    <t>Ns</t>
  </si>
  <si>
    <t>Length of voice sample period per packet (mS)</t>
  </si>
  <si>
    <t>The longer the sample period, the more efficient H323 will be, however, the trade off is extra delay. NOP always has 30mS delay</t>
  </si>
  <si>
    <t>Typical</t>
  </si>
  <si>
    <t>Minimum voice sample length (mS)</t>
  </si>
  <si>
    <t>Mv</t>
  </si>
  <si>
    <t>G723.1</t>
  </si>
  <si>
    <t>Number of voice samples per packet (Ns/Mv)</t>
  </si>
  <si>
    <t>Nv</t>
  </si>
  <si>
    <t>Nv*(r*Sv + (1-r)*Ss) + Oh</t>
  </si>
  <si>
    <t>Voice packets per second (minimum delay)</t>
  </si>
  <si>
    <t>Voice packets per second (ignoring delay)</t>
  </si>
  <si>
    <t>If delay is ignored then H323 may carry multiple samples in a single packet</t>
  </si>
  <si>
    <t>Vmin</t>
  </si>
  <si>
    <t>P*Vr*8 or P*Vmin*8</t>
  </si>
  <si>
    <t>VAD (Voice Activity Detection) is the decision whether to treat speech and silence differently in the encoding process.</t>
  </si>
  <si>
    <t xml:space="preserve"> If VAD is on it means that the codec will try to detect silence during the conversation. </t>
  </si>
  <si>
    <t xml:space="preserve">There is then a choice of how that silence should be handled. </t>
  </si>
  <si>
    <t>Either no packets are sent at all (lowest bandwidth consumed but gives unnatural experience to listener) or special silence packets may be sent which are then turned into 'comfort noise' at play out.</t>
  </si>
  <si>
    <t>Calculation assumes a bandwidth of 1 x E1. Change Row  61 to find the capacity at different bandwidths</t>
  </si>
  <si>
    <t>Enter sample length being used by the H323 equipment here</t>
  </si>
  <si>
    <t>Calculation has a variable for the length of the H323 sample. The longer the sample, the more may be fitted in a single IP Packet BUT this will increase delay which will make the user experience much worse.</t>
  </si>
  <si>
    <t>Made up of 20 bytes IP header, 8 bytes UDP and 12 bytes RTP. Ethernet header stripped by most routers.</t>
  </si>
  <si>
    <t>(I/1200+1)*Ir</t>
  </si>
  <si>
    <t>29*Ix</t>
  </si>
  <si>
    <t>N*Pn*(Vmin/Ir)+29</t>
  </si>
  <si>
    <t>29*Ir</t>
  </si>
  <si>
    <t>Made up of 20 bytes IP header, 8 bytes UDP and 1 byte NOP Message Type. Ethernet header stripped by most routers.</t>
  </si>
  <si>
    <t>Om</t>
  </si>
  <si>
    <t>(r*Sv + (1-r)*Ss) + Om</t>
  </si>
  <si>
    <t>Set up recommended</t>
  </si>
  <si>
    <t>by WTL as Toll Quality</t>
  </si>
  <si>
    <t>by WTL for bandwidth saving</t>
  </si>
  <si>
    <t>Additional Delay = wait for voice sample(s) + transmission time (milli Seconds)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</si>
</sst>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0">
    <font>
      <sz val="10"/>
      <name val="Arial"/>
      <family val="0"/>
    </font>
    <font>
      <b/>
      <sz val="10"/>
      <name val="Arial"/>
      <family val="2"/>
    </font>
    <font>
      <sz val="10"/>
      <color indexed="14"/>
      <name val="Arial"/>
      <family val="2"/>
    </font>
    <font>
      <sz val="10"/>
      <color indexed="53"/>
      <name val="Arial"/>
      <family val="2"/>
    </font>
    <font>
      <b/>
      <sz val="10"/>
      <color indexed="60"/>
      <name val="Arial"/>
      <family val="2"/>
    </font>
    <font>
      <b/>
      <sz val="12"/>
      <name val="Arial"/>
      <family val="2"/>
    </font>
    <font>
      <b/>
      <sz val="10"/>
      <color indexed="53"/>
      <name val="Arial"/>
      <family val="2"/>
    </font>
    <font>
      <sz val="10"/>
      <color indexed="10"/>
      <name val="Arial"/>
      <family val="2"/>
    </font>
    <font>
      <b/>
      <sz val="10"/>
      <color indexed="12"/>
      <name val="Arial"/>
      <family val="2"/>
    </font>
    <font>
      <sz val="10"/>
      <color indexed="12"/>
      <name val="Arial"/>
      <family val="2"/>
    </font>
  </fonts>
  <fills count="5">
    <fill>
      <patternFill/>
    </fill>
    <fill>
      <patternFill patternType="gray125"/>
    </fill>
    <fill>
      <patternFill patternType="solid">
        <fgColor indexed="44"/>
        <bgColor indexed="64"/>
      </patternFill>
    </fill>
    <fill>
      <patternFill patternType="solid">
        <fgColor indexed="48"/>
        <bgColor indexed="64"/>
      </patternFill>
    </fill>
    <fill>
      <patternFill patternType="solid">
        <fgColor indexed="4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2" fontId="4" fillId="0" borderId="1" xfId="0" applyNumberFormat="1" applyFont="1" applyBorder="1" applyAlignment="1">
      <alignment/>
    </xf>
    <xf numFmtId="2" fontId="4" fillId="2" borderId="1" xfId="0" applyNumberFormat="1" applyFont="1" applyFill="1" applyBorder="1" applyAlignment="1">
      <alignment/>
    </xf>
    <xf numFmtId="2" fontId="4" fillId="0" borderId="1" xfId="0" applyNumberFormat="1" applyFont="1" applyFill="1" applyBorder="1" applyAlignment="1">
      <alignment/>
    </xf>
    <xf numFmtId="2" fontId="0" fillId="2" borderId="0" xfId="0" applyNumberFormat="1" applyFill="1" applyBorder="1" applyAlignment="1">
      <alignment/>
    </xf>
    <xf numFmtId="2" fontId="0" fillId="0" borderId="0" xfId="0" applyNumberFormat="1" applyBorder="1" applyAlignment="1">
      <alignment/>
    </xf>
    <xf numFmtId="0" fontId="5" fillId="3" borderId="0" xfId="0" applyFont="1" applyFill="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left"/>
    </xf>
    <xf numFmtId="0" fontId="7"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0" fontId="0" fillId="4" borderId="0" xfId="0" applyFont="1" applyFill="1" applyBorder="1" applyAlignment="1">
      <alignment/>
    </xf>
    <xf numFmtId="0" fontId="0" fillId="4" borderId="0" xfId="0" applyFill="1" applyBorder="1" applyAlignment="1">
      <alignment horizontal="center"/>
    </xf>
    <xf numFmtId="0" fontId="0" fillId="4" borderId="0" xfId="0" applyFill="1" applyBorder="1" applyAlignment="1">
      <alignment horizontal="left"/>
    </xf>
    <xf numFmtId="0" fontId="0" fillId="4" borderId="0" xfId="0" applyFill="1" applyBorder="1" applyAlignment="1">
      <alignment/>
    </xf>
    <xf numFmtId="0" fontId="0" fillId="0" borderId="0" xfId="0" applyFont="1" applyFill="1" applyBorder="1" applyAlignment="1">
      <alignment/>
    </xf>
    <xf numFmtId="0" fontId="9" fillId="2" borderId="0" xfId="0" applyFont="1" applyFill="1" applyBorder="1" applyAlignment="1">
      <alignment/>
    </xf>
    <xf numFmtId="0" fontId="7" fillId="0" borderId="0" xfId="0" applyFont="1" applyBorder="1" applyAlignment="1">
      <alignment/>
    </xf>
    <xf numFmtId="0" fontId="0" fillId="2" borderId="0" xfId="0" applyFill="1" applyBorder="1" applyAlignment="1">
      <alignment/>
    </xf>
    <xf numFmtId="0" fontId="1" fillId="0" borderId="0" xfId="0" applyFont="1" applyBorder="1" applyAlignment="1">
      <alignment horizontal="center"/>
    </xf>
    <xf numFmtId="0" fontId="1" fillId="2"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2" borderId="0" xfId="0" applyFill="1" applyBorder="1" applyAlignment="1">
      <alignment vertical="top" wrapText="1"/>
    </xf>
    <xf numFmtId="0" fontId="0" fillId="0" borderId="0" xfId="0" applyFont="1" applyFill="1" applyBorder="1" applyAlignment="1">
      <alignment vertical="top" wrapText="1"/>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left"/>
    </xf>
    <xf numFmtId="2" fontId="0" fillId="0" borderId="0" xfId="0" applyNumberFormat="1" applyFont="1" applyFill="1" applyBorder="1" applyAlignment="1">
      <alignment/>
    </xf>
    <xf numFmtId="0" fontId="8"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alignment/>
    </xf>
    <xf numFmtId="0" fontId="0" fillId="2" borderId="0" xfId="0" applyFill="1" applyBorder="1" applyAlignment="1">
      <alignment horizontal="center"/>
    </xf>
    <xf numFmtId="0" fontId="0" fillId="0" borderId="0" xfId="0" applyFont="1" applyFill="1" applyBorder="1" applyAlignment="1">
      <alignment horizontal="center"/>
    </xf>
    <xf numFmtId="2" fontId="1"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3"/>
  <sheetViews>
    <sheetView tabSelected="1" defaultGridColor="0" colorId="22" workbookViewId="0" topLeftCell="A1">
      <selection activeCell="C25" sqref="C25"/>
    </sheetView>
  </sheetViews>
  <sheetFormatPr defaultColWidth="9.140625" defaultRowHeight="12.75"/>
  <cols>
    <col min="1" max="1" width="55.28125" style="9" customWidth="1"/>
    <col min="2" max="2" width="6.7109375" style="7" customWidth="1"/>
    <col min="3" max="5" width="20.7109375" style="8" customWidth="1"/>
    <col min="6" max="6" width="16.7109375" style="9" customWidth="1"/>
    <col min="7" max="7" width="20.140625" style="9" customWidth="1"/>
    <col min="8" max="8" width="16.7109375" style="9" customWidth="1"/>
    <col min="9" max="9" width="16.28125" style="9" customWidth="1"/>
    <col min="10" max="13" width="16.57421875" style="9" customWidth="1"/>
    <col min="14" max="15" width="15.00390625" style="9" customWidth="1"/>
    <col min="16" max="17" width="13.7109375" style="9" customWidth="1"/>
    <col min="18" max="18" width="14.28125" style="9" customWidth="1"/>
    <col min="19" max="19" width="14.00390625" style="9" customWidth="1"/>
    <col min="20" max="16384" width="9.140625" style="9" customWidth="1"/>
  </cols>
  <sheetData>
    <row r="1" ht="15.75">
      <c r="A1" s="6" t="s">
        <v>30</v>
      </c>
    </row>
    <row r="2" ht="12.75">
      <c r="A2" s="10" t="s">
        <v>32</v>
      </c>
    </row>
    <row r="3" ht="12.75">
      <c r="A3" s="9" t="s">
        <v>31</v>
      </c>
    </row>
    <row r="4" ht="12.75">
      <c r="A4" s="9" t="s">
        <v>44</v>
      </c>
    </row>
    <row r="5" ht="12.75">
      <c r="A5" s="9" t="s">
        <v>63</v>
      </c>
    </row>
    <row r="6" ht="12.75">
      <c r="A6" s="9" t="s">
        <v>43</v>
      </c>
    </row>
    <row r="8" spans="1:5" ht="12.75">
      <c r="A8" s="10" t="s">
        <v>0</v>
      </c>
      <c r="B8" s="7" t="s">
        <v>1</v>
      </c>
      <c r="C8" s="11" t="s">
        <v>3</v>
      </c>
      <c r="D8" s="11"/>
      <c r="E8" s="11"/>
    </row>
    <row r="9" spans="1:4" ht="12.75">
      <c r="A9" s="9" t="s">
        <v>13</v>
      </c>
      <c r="B9" s="7" t="s">
        <v>1</v>
      </c>
      <c r="C9" s="8">
        <v>33.3</v>
      </c>
      <c r="D9" s="12"/>
    </row>
    <row r="11" spans="1:4" ht="12.75">
      <c r="A11" s="13" t="s">
        <v>36</v>
      </c>
      <c r="B11" s="7" t="s">
        <v>1</v>
      </c>
      <c r="C11" s="8">
        <v>40</v>
      </c>
      <c r="D11" s="8" t="s">
        <v>86</v>
      </c>
    </row>
    <row r="12" spans="1:4" ht="12.75">
      <c r="A12" s="13" t="s">
        <v>37</v>
      </c>
      <c r="B12" s="7" t="s">
        <v>1</v>
      </c>
      <c r="C12" s="8">
        <v>29</v>
      </c>
      <c r="D12" s="8" t="s">
        <v>91</v>
      </c>
    </row>
    <row r="14" spans="1:5" ht="12.75">
      <c r="A14" s="10" t="s">
        <v>74</v>
      </c>
      <c r="B14" s="7" t="s">
        <v>1</v>
      </c>
      <c r="C14" s="11" t="s">
        <v>77</v>
      </c>
      <c r="D14" s="11"/>
      <c r="E14" s="11"/>
    </row>
    <row r="15" spans="1:5" ht="12.75">
      <c r="A15" s="9" t="s">
        <v>4</v>
      </c>
      <c r="B15" s="7" t="s">
        <v>1</v>
      </c>
      <c r="C15" s="14">
        <v>100</v>
      </c>
      <c r="D15" s="8" t="s">
        <v>41</v>
      </c>
      <c r="E15" s="11"/>
    </row>
    <row r="16" spans="1:5" ht="12.75">
      <c r="A16" s="9" t="s">
        <v>45</v>
      </c>
      <c r="B16" s="7" t="s">
        <v>1</v>
      </c>
      <c r="C16" s="14">
        <v>33.3</v>
      </c>
      <c r="D16" s="8" t="s">
        <v>40</v>
      </c>
      <c r="E16" s="11"/>
    </row>
    <row r="17" spans="1:5" ht="12.75">
      <c r="A17" s="10"/>
      <c r="C17" s="11"/>
      <c r="D17" s="11"/>
      <c r="E17" s="11"/>
    </row>
    <row r="18" spans="1:5" ht="12.75">
      <c r="A18" s="10" t="s">
        <v>75</v>
      </c>
      <c r="B18" s="7" t="s">
        <v>1</v>
      </c>
      <c r="C18" s="11" t="s">
        <v>2</v>
      </c>
      <c r="D18" s="11"/>
      <c r="E18" s="11"/>
    </row>
    <row r="19" spans="1:4" ht="12.75">
      <c r="A19" s="9" t="s">
        <v>4</v>
      </c>
      <c r="B19" s="7" t="s">
        <v>1</v>
      </c>
      <c r="C19" s="8">
        <f>1/(0.001*C$33)</f>
        <v>16.666666666666668</v>
      </c>
      <c r="D19" s="8" t="s">
        <v>76</v>
      </c>
    </row>
    <row r="20" spans="1:3" ht="12.75">
      <c r="A20" s="9" t="s">
        <v>45</v>
      </c>
      <c r="B20" s="7" t="s">
        <v>1</v>
      </c>
      <c r="C20" s="8">
        <f>1/(0.001*C$33)</f>
        <v>16.666666666666668</v>
      </c>
    </row>
    <row r="22" spans="1:5" ht="16.5" customHeight="1">
      <c r="A22" s="10" t="s">
        <v>52</v>
      </c>
      <c r="B22" s="7" t="s">
        <v>1</v>
      </c>
      <c r="C22" s="11" t="s">
        <v>5</v>
      </c>
      <c r="D22" s="11"/>
      <c r="E22" s="11"/>
    </row>
    <row r="23" spans="1:3" ht="12" customHeight="1">
      <c r="A23" s="9" t="s">
        <v>6</v>
      </c>
      <c r="B23" s="7" t="s">
        <v>1</v>
      </c>
      <c r="C23" s="8">
        <v>20</v>
      </c>
    </row>
    <row r="24" spans="1:3" ht="12.75">
      <c r="A24" s="9" t="s">
        <v>7</v>
      </c>
      <c r="B24" s="7" t="s">
        <v>1</v>
      </c>
      <c r="C24" s="8">
        <v>24</v>
      </c>
    </row>
    <row r="25" spans="1:3" ht="12.75">
      <c r="A25" s="9" t="s">
        <v>4</v>
      </c>
      <c r="B25" s="7" t="s">
        <v>1</v>
      </c>
      <c r="C25" s="8">
        <v>10</v>
      </c>
    </row>
    <row r="26" spans="1:3" ht="12.75">
      <c r="A26" s="9" t="s">
        <v>8</v>
      </c>
      <c r="B26" s="7" t="s">
        <v>1</v>
      </c>
      <c r="C26" s="8">
        <v>240</v>
      </c>
    </row>
    <row r="28" spans="1:3" ht="12.75">
      <c r="A28" s="10" t="s">
        <v>68</v>
      </c>
      <c r="B28" s="7" t="s">
        <v>1</v>
      </c>
      <c r="C28" s="11" t="s">
        <v>69</v>
      </c>
    </row>
    <row r="29" spans="1:3" ht="12.75">
      <c r="A29" s="9" t="s">
        <v>70</v>
      </c>
      <c r="B29" s="7" t="s">
        <v>1</v>
      </c>
      <c r="C29" s="8">
        <v>30</v>
      </c>
    </row>
    <row r="30" spans="1:3" ht="12.75">
      <c r="A30" s="9" t="s">
        <v>4</v>
      </c>
      <c r="B30" s="7" t="s">
        <v>1</v>
      </c>
      <c r="C30" s="8">
        <v>10</v>
      </c>
    </row>
    <row r="32" spans="1:4" ht="12.75">
      <c r="A32" s="10" t="s">
        <v>65</v>
      </c>
      <c r="B32" s="7" t="s">
        <v>1</v>
      </c>
      <c r="C32" s="8" t="s">
        <v>64</v>
      </c>
      <c r="D32" s="8" t="s">
        <v>66</v>
      </c>
    </row>
    <row r="33" spans="1:6" ht="12.75">
      <c r="A33" s="15" t="s">
        <v>67</v>
      </c>
      <c r="B33" s="16" t="s">
        <v>1</v>
      </c>
      <c r="C33" s="17">
        <v>60</v>
      </c>
      <c r="D33" s="17" t="s">
        <v>84</v>
      </c>
      <c r="E33" s="17"/>
      <c r="F33" s="18"/>
    </row>
    <row r="34" ht="12.75">
      <c r="A34" s="13"/>
    </row>
    <row r="35" spans="1:3" ht="12.75">
      <c r="A35" s="10" t="s">
        <v>71</v>
      </c>
      <c r="B35" s="7" t="s">
        <v>1</v>
      </c>
      <c r="C35" s="8" t="s">
        <v>72</v>
      </c>
    </row>
    <row r="36" spans="1:3" ht="12.75">
      <c r="A36" s="9" t="s">
        <v>70</v>
      </c>
      <c r="B36" s="7" t="s">
        <v>1</v>
      </c>
      <c r="C36" s="8">
        <f>C33/C29</f>
        <v>2</v>
      </c>
    </row>
    <row r="37" spans="1:3" ht="12.75">
      <c r="A37" s="9" t="s">
        <v>4</v>
      </c>
      <c r="B37" s="7" t="s">
        <v>1</v>
      </c>
      <c r="C37" s="8">
        <f>C33/C30</f>
        <v>6</v>
      </c>
    </row>
    <row r="39" spans="1:5" ht="12.75">
      <c r="A39" s="10" t="s">
        <v>53</v>
      </c>
      <c r="B39" s="7" t="s">
        <v>1</v>
      </c>
      <c r="C39" s="11" t="s">
        <v>9</v>
      </c>
      <c r="D39" s="11"/>
      <c r="E39" s="11"/>
    </row>
    <row r="40" spans="1:5" ht="12.75">
      <c r="A40" s="9" t="s">
        <v>35</v>
      </c>
      <c r="B40" s="7" t="s">
        <v>1</v>
      </c>
      <c r="C40" s="14">
        <v>0</v>
      </c>
      <c r="D40" s="11"/>
      <c r="E40" s="11"/>
    </row>
    <row r="41" spans="1:3" ht="12.75">
      <c r="A41" s="9" t="s">
        <v>6</v>
      </c>
      <c r="B41" s="7" t="s">
        <v>1</v>
      </c>
      <c r="C41" s="8">
        <v>4</v>
      </c>
    </row>
    <row r="42" spans="1:3" ht="12.75">
      <c r="A42" s="9" t="s">
        <v>7</v>
      </c>
      <c r="B42" s="7" t="s">
        <v>1</v>
      </c>
      <c r="C42" s="8">
        <v>4</v>
      </c>
    </row>
    <row r="43" spans="1:7" ht="12.75">
      <c r="A43" s="9" t="s">
        <v>4</v>
      </c>
      <c r="B43" s="7" t="s">
        <v>1</v>
      </c>
      <c r="C43" s="8">
        <v>2</v>
      </c>
      <c r="D43" s="14"/>
      <c r="F43" s="8"/>
      <c r="G43" s="8"/>
    </row>
    <row r="44" spans="6:7" ht="12.75">
      <c r="F44" s="8"/>
      <c r="G44" s="8"/>
    </row>
    <row r="46" spans="1:3" ht="12.75">
      <c r="A46" s="9" t="s">
        <v>54</v>
      </c>
      <c r="B46" s="7" t="s">
        <v>1</v>
      </c>
      <c r="C46" s="8" t="s">
        <v>92</v>
      </c>
    </row>
    <row r="47" spans="2:3" ht="12.75">
      <c r="B47" s="7" t="s">
        <v>1</v>
      </c>
      <c r="C47" s="8">
        <v>4</v>
      </c>
    </row>
    <row r="48" ht="12.75">
      <c r="N48" s="19"/>
    </row>
    <row r="49" spans="1:14" ht="12.75">
      <c r="A49" s="10" t="s">
        <v>10</v>
      </c>
      <c r="B49" s="7" t="s">
        <v>1</v>
      </c>
      <c r="C49" s="11" t="s">
        <v>11</v>
      </c>
      <c r="D49" s="11"/>
      <c r="E49" s="11"/>
      <c r="J49" s="20" t="s">
        <v>94</v>
      </c>
      <c r="L49" s="20" t="s">
        <v>94</v>
      </c>
      <c r="N49" s="19"/>
    </row>
    <row r="50" spans="1:15" ht="12.75">
      <c r="A50" s="9" t="s">
        <v>29</v>
      </c>
      <c r="B50" s="7" t="s">
        <v>1</v>
      </c>
      <c r="C50" s="8">
        <v>0.5</v>
      </c>
      <c r="J50" s="20" t="s">
        <v>96</v>
      </c>
      <c r="L50" s="20" t="s">
        <v>95</v>
      </c>
      <c r="N50" s="19"/>
      <c r="O50" s="21"/>
    </row>
    <row r="51" spans="1:14" ht="12.75">
      <c r="A51" s="9" t="s">
        <v>12</v>
      </c>
      <c r="B51" s="7" t="s">
        <v>1</v>
      </c>
      <c r="C51" s="8">
        <v>1</v>
      </c>
      <c r="J51" s="22"/>
      <c r="L51" s="22"/>
      <c r="N51" s="19"/>
    </row>
    <row r="52" spans="4:17" ht="12.75">
      <c r="D52" s="23" t="s">
        <v>38</v>
      </c>
      <c r="E52" s="23" t="s">
        <v>39</v>
      </c>
      <c r="F52" s="23" t="s">
        <v>38</v>
      </c>
      <c r="G52" s="23" t="s">
        <v>39</v>
      </c>
      <c r="H52" s="23" t="s">
        <v>38</v>
      </c>
      <c r="I52" s="23" t="s">
        <v>39</v>
      </c>
      <c r="J52" s="24" t="s">
        <v>38</v>
      </c>
      <c r="K52" s="23" t="s">
        <v>39</v>
      </c>
      <c r="L52" s="24" t="s">
        <v>38</v>
      </c>
      <c r="M52" s="23" t="s">
        <v>39</v>
      </c>
      <c r="N52" s="25" t="s">
        <v>38</v>
      </c>
      <c r="O52" s="23" t="s">
        <v>39</v>
      </c>
      <c r="P52" s="23" t="s">
        <v>38</v>
      </c>
      <c r="Q52" s="23" t="s">
        <v>39</v>
      </c>
    </row>
    <row r="53" spans="1:17" s="29" customFormat="1" ht="32.25" customHeight="1">
      <c r="A53" s="26" t="s">
        <v>46</v>
      </c>
      <c r="B53" s="27"/>
      <c r="C53" s="28"/>
      <c r="D53" s="29" t="s">
        <v>34</v>
      </c>
      <c r="E53" s="29" t="s">
        <v>34</v>
      </c>
      <c r="F53" s="29" t="s">
        <v>21</v>
      </c>
      <c r="G53" s="29" t="s">
        <v>57</v>
      </c>
      <c r="H53" s="29" t="s">
        <v>22</v>
      </c>
      <c r="I53" s="29" t="s">
        <v>22</v>
      </c>
      <c r="J53" s="30" t="s">
        <v>24</v>
      </c>
      <c r="K53" s="29" t="s">
        <v>24</v>
      </c>
      <c r="L53" s="30" t="s">
        <v>25</v>
      </c>
      <c r="M53" s="29" t="s">
        <v>25</v>
      </c>
      <c r="N53" s="31" t="s">
        <v>26</v>
      </c>
      <c r="O53" s="29" t="s">
        <v>26</v>
      </c>
      <c r="P53" s="29" t="s">
        <v>27</v>
      </c>
      <c r="Q53" s="29" t="s">
        <v>27</v>
      </c>
    </row>
    <row r="54" spans="1:19" ht="12.75">
      <c r="A54" s="32" t="s">
        <v>14</v>
      </c>
      <c r="B54" s="33" t="s">
        <v>1</v>
      </c>
      <c r="C54" s="34">
        <f>C9</f>
        <v>33.3</v>
      </c>
      <c r="D54" s="5">
        <f>C9</f>
        <v>33.3</v>
      </c>
      <c r="E54" s="5">
        <f>$C9</f>
        <v>33.3</v>
      </c>
      <c r="F54" s="5">
        <f>C9</f>
        <v>33.3</v>
      </c>
      <c r="G54" s="5">
        <f>$C9</f>
        <v>33.3</v>
      </c>
      <c r="H54" s="5">
        <f>C9</f>
        <v>33.3</v>
      </c>
      <c r="I54" s="5">
        <f>$C9</f>
        <v>33.3</v>
      </c>
      <c r="J54" s="4">
        <f>C9</f>
        <v>33.3</v>
      </c>
      <c r="K54" s="5">
        <f>$C9</f>
        <v>33.3</v>
      </c>
      <c r="L54" s="4">
        <f>C9</f>
        <v>33.3</v>
      </c>
      <c r="M54" s="5">
        <f>$C9</f>
        <v>33.3</v>
      </c>
      <c r="N54" s="35">
        <f>$C9</f>
        <v>33.3</v>
      </c>
      <c r="O54" s="5">
        <f>$C9</f>
        <v>33.3</v>
      </c>
      <c r="P54" s="5">
        <f>C9</f>
        <v>33.3</v>
      </c>
      <c r="Q54" s="5">
        <f>$C9</f>
        <v>33.3</v>
      </c>
      <c r="R54" s="5"/>
      <c r="S54" s="5"/>
    </row>
    <row r="55" spans="1:19" ht="12.75">
      <c r="A55" s="32" t="s">
        <v>56</v>
      </c>
      <c r="B55" s="33" t="s">
        <v>1</v>
      </c>
      <c r="C55" s="34" t="s">
        <v>48</v>
      </c>
      <c r="D55" s="5"/>
      <c r="E55" s="5"/>
      <c r="F55" s="5"/>
      <c r="G55" s="5"/>
      <c r="H55" s="5"/>
      <c r="I55" s="5"/>
      <c r="J55" s="4"/>
      <c r="K55" s="5"/>
      <c r="L55" s="4"/>
      <c r="M55" s="5"/>
      <c r="N55" s="35"/>
      <c r="O55" s="5"/>
      <c r="P55" s="5"/>
      <c r="Q55" s="5"/>
      <c r="R55" s="5"/>
      <c r="S55" s="5"/>
    </row>
    <row r="56" spans="1:19" ht="12.75">
      <c r="A56" s="32" t="s">
        <v>55</v>
      </c>
      <c r="B56" s="33" t="s">
        <v>1</v>
      </c>
      <c r="C56" s="34" t="s">
        <v>90</v>
      </c>
      <c r="D56" s="5">
        <f>$C$12*D54</f>
        <v>965.6999999999999</v>
      </c>
      <c r="E56" s="5"/>
      <c r="F56" s="5">
        <f>$C$12*F54</f>
        <v>965.6999999999999</v>
      </c>
      <c r="G56" s="5"/>
      <c r="H56" s="5">
        <f>$C$12*H54</f>
        <v>965.6999999999999</v>
      </c>
      <c r="I56" s="5"/>
      <c r="J56" s="4">
        <f>$C$12*J54</f>
        <v>965.6999999999999</v>
      </c>
      <c r="K56" s="5"/>
      <c r="L56" s="4"/>
      <c r="M56" s="5"/>
      <c r="N56" s="5">
        <f>$C$12*N54</f>
        <v>965.6999999999999</v>
      </c>
      <c r="O56" s="5"/>
      <c r="P56" s="5">
        <f>$C$12*P54</f>
        <v>965.6999999999999</v>
      </c>
      <c r="Q56" s="5"/>
      <c r="R56" s="5"/>
      <c r="S56" s="5"/>
    </row>
    <row r="57" spans="1:19" ht="12.75">
      <c r="A57" s="36" t="s">
        <v>50</v>
      </c>
      <c r="B57" s="33"/>
      <c r="C57" s="34"/>
      <c r="D57" s="5"/>
      <c r="E57" s="5"/>
      <c r="F57" s="5"/>
      <c r="G57" s="5"/>
      <c r="H57" s="5"/>
      <c r="I57" s="5"/>
      <c r="J57" s="4"/>
      <c r="K57" s="5"/>
      <c r="L57" s="4"/>
      <c r="M57" s="5"/>
      <c r="N57" s="35"/>
      <c r="O57" s="5"/>
      <c r="P57" s="5"/>
      <c r="Q57" s="5"/>
      <c r="R57" s="5"/>
      <c r="S57" s="5"/>
    </row>
    <row r="58" spans="1:19" ht="12.75">
      <c r="A58" s="36" t="s">
        <v>51</v>
      </c>
      <c r="B58" s="33"/>
      <c r="C58" s="34"/>
      <c r="D58" s="5"/>
      <c r="E58" s="5"/>
      <c r="F58" s="5"/>
      <c r="G58" s="5"/>
      <c r="H58" s="5"/>
      <c r="I58" s="5"/>
      <c r="J58" s="4"/>
      <c r="K58" s="5"/>
      <c r="L58" s="4"/>
      <c r="M58" s="5"/>
      <c r="N58" s="35"/>
      <c r="O58" s="5"/>
      <c r="P58" s="5"/>
      <c r="Q58" s="5"/>
      <c r="R58" s="5"/>
      <c r="S58" s="5"/>
    </row>
    <row r="59" spans="1:19" ht="12.75">
      <c r="A59" s="32" t="s">
        <v>61</v>
      </c>
      <c r="B59" s="33" t="s">
        <v>1</v>
      </c>
      <c r="C59" s="34" t="s">
        <v>73</v>
      </c>
      <c r="D59" s="5"/>
      <c r="E59" s="5">
        <f>($C36*(($C50*$C23)+($C50*$C40))+$C11)</f>
        <v>60</v>
      </c>
      <c r="F59" s="5"/>
      <c r="G59" s="5">
        <f>(C36*(($C50*$C23)+((1-$C50)*$C41))+48)</f>
        <v>72</v>
      </c>
      <c r="H59" s="5"/>
      <c r="I59" s="5">
        <f>(C36*(($C51*$C23)+((1-$C51)*$C41))+48)</f>
        <v>88</v>
      </c>
      <c r="J59" s="4"/>
      <c r="K59" s="5">
        <f>(C36*(($C50*$C24)+((1-$C50)*$C42))+48)</f>
        <v>76</v>
      </c>
      <c r="L59" s="4"/>
      <c r="M59" s="5">
        <f>(C36*(($C51*$C24)+((1-$C51)*$C42))+48)</f>
        <v>96</v>
      </c>
      <c r="N59" s="35"/>
      <c r="O59" s="5">
        <f>(C37*(($C50*$C25)+((1-$C50)*$C43))+48)</f>
        <v>84</v>
      </c>
      <c r="P59" s="5"/>
      <c r="Q59" s="5">
        <f>(C37*(($C50*$C24)+((1-$C50)*$C42))+48)</f>
        <v>132</v>
      </c>
      <c r="R59" s="5"/>
      <c r="S59" s="5"/>
    </row>
    <row r="60" spans="1:19" ht="12.75">
      <c r="A60" s="32" t="s">
        <v>60</v>
      </c>
      <c r="B60" s="33" t="s">
        <v>1</v>
      </c>
      <c r="C60" s="34" t="s">
        <v>93</v>
      </c>
      <c r="D60" s="5">
        <f>(((C50*C23)+(C50*C40))+4)</f>
        <v>14</v>
      </c>
      <c r="E60" s="5"/>
      <c r="F60" s="5">
        <f>(((C50*C23)+(C50*C41))+4)</f>
        <v>16</v>
      </c>
      <c r="G60" s="5"/>
      <c r="H60" s="5">
        <f>(((C51*C23)+((1-C51)*C41))+4)</f>
        <v>24</v>
      </c>
      <c r="I60" s="5"/>
      <c r="J60" s="4">
        <f>(((C50*C24)+((1-C50)*C42))+4)</f>
        <v>18</v>
      </c>
      <c r="K60" s="5"/>
      <c r="L60" s="4">
        <f>(((C51*C24)+((1-C51)*C42))+4)</f>
        <v>28</v>
      </c>
      <c r="M60" s="5"/>
      <c r="N60" s="35">
        <f>(((C50*C25)+((1-C50)*C43))+4)</f>
        <v>10</v>
      </c>
      <c r="O60" s="5"/>
      <c r="P60" s="5">
        <f>(((C51*C25)+((1-C51)*C43))+4)</f>
        <v>14</v>
      </c>
      <c r="Q60" s="5"/>
      <c r="R60" s="5"/>
      <c r="S60" s="5"/>
    </row>
    <row r="61" spans="1:19" ht="12.75">
      <c r="A61" s="32" t="s">
        <v>58</v>
      </c>
      <c r="B61" s="33" t="s">
        <v>1</v>
      </c>
      <c r="C61" s="34" t="s">
        <v>78</v>
      </c>
      <c r="D61" s="5">
        <f>D60*C16*8</f>
        <v>3729.5999999999995</v>
      </c>
      <c r="E61" s="5">
        <f>E59*$C20*8</f>
        <v>8000.000000000001</v>
      </c>
      <c r="F61" s="5">
        <f>F60*C16*8</f>
        <v>4262.4</v>
      </c>
      <c r="G61" s="5">
        <f>G59*$C20*8</f>
        <v>9600</v>
      </c>
      <c r="H61" s="5">
        <f>H60*C16*8</f>
        <v>6393.599999999999</v>
      </c>
      <c r="I61" s="5">
        <f>I59*$C20*8</f>
        <v>11733.333333333334</v>
      </c>
      <c r="J61" s="4">
        <f>J60*C16*8</f>
        <v>4795.2</v>
      </c>
      <c r="K61" s="5">
        <f>K59*$C20*8</f>
        <v>10133.333333333334</v>
      </c>
      <c r="L61" s="4">
        <f>L60*C16*8</f>
        <v>7459.199999999999</v>
      </c>
      <c r="M61" s="5">
        <f>M59*$C20*8</f>
        <v>12800</v>
      </c>
      <c r="N61" s="35">
        <f>N60*$C15*8</f>
        <v>8000</v>
      </c>
      <c r="O61" s="5">
        <f>O59*$C19*8</f>
        <v>11200</v>
      </c>
      <c r="P61" s="5">
        <f>P60*$C15*8</f>
        <v>11200</v>
      </c>
      <c r="Q61" s="5">
        <f>Q59*$C20*8</f>
        <v>17600</v>
      </c>
      <c r="R61" s="5"/>
      <c r="S61" s="5"/>
    </row>
    <row r="62" spans="1:19" ht="12.75">
      <c r="A62" s="32" t="s">
        <v>28</v>
      </c>
      <c r="B62" s="33"/>
      <c r="C62" s="34"/>
      <c r="D62" s="5">
        <f aca="true" t="shared" si="0" ref="D62:Q62">30*64000</f>
        <v>1920000</v>
      </c>
      <c r="E62" s="5">
        <f t="shared" si="0"/>
        <v>1920000</v>
      </c>
      <c r="F62" s="5">
        <f t="shared" si="0"/>
        <v>1920000</v>
      </c>
      <c r="G62" s="5">
        <f t="shared" si="0"/>
        <v>1920000</v>
      </c>
      <c r="H62" s="5">
        <f t="shared" si="0"/>
        <v>1920000</v>
      </c>
      <c r="I62" s="5">
        <f t="shared" si="0"/>
        <v>1920000</v>
      </c>
      <c r="J62" s="4">
        <f t="shared" si="0"/>
        <v>1920000</v>
      </c>
      <c r="K62" s="5">
        <f t="shared" si="0"/>
        <v>1920000</v>
      </c>
      <c r="L62" s="4">
        <f t="shared" si="0"/>
        <v>1920000</v>
      </c>
      <c r="M62" s="5">
        <f t="shared" si="0"/>
        <v>1920000</v>
      </c>
      <c r="N62" s="35">
        <f t="shared" si="0"/>
        <v>1920000</v>
      </c>
      <c r="O62" s="5">
        <f t="shared" si="0"/>
        <v>1920000</v>
      </c>
      <c r="P62" s="5">
        <f t="shared" si="0"/>
        <v>1920000</v>
      </c>
      <c r="Q62" s="5">
        <f t="shared" si="0"/>
        <v>1920000</v>
      </c>
      <c r="R62" s="5"/>
      <c r="S62" s="5"/>
    </row>
    <row r="63" spans="1:19" ht="12.75">
      <c r="A63" s="32" t="s">
        <v>15</v>
      </c>
      <c r="B63" s="33" t="s">
        <v>1</v>
      </c>
      <c r="C63" s="34" t="s">
        <v>59</v>
      </c>
      <c r="D63" s="5">
        <f>(ROUNDUP(((D62-(D56*8))/D61),0))</f>
        <v>513</v>
      </c>
      <c r="E63" s="5">
        <f>(ROUNDUP(((E62-E56)/E61),0))</f>
        <v>240</v>
      </c>
      <c r="F63" s="5">
        <f>(ROUNDUP(((F62-(F56*8))/F61),0))</f>
        <v>449</v>
      </c>
      <c r="G63" s="5">
        <f>(ROUNDUP(((G62-G56)/G61),0))</f>
        <v>200</v>
      </c>
      <c r="H63" s="5">
        <f>(ROUNDUP(((H62-(H56*8))/H61),0))</f>
        <v>300</v>
      </c>
      <c r="I63" s="5">
        <f>(ROUNDUP(((I62-I56)/I61),0))</f>
        <v>164</v>
      </c>
      <c r="J63" s="4">
        <f>ROUNDUP(((J62-J56)/J61),0)</f>
        <v>401</v>
      </c>
      <c r="K63" s="5">
        <f>(ROUNDUP(((K62-K56)/K61),0))</f>
        <v>190</v>
      </c>
      <c r="L63" s="4">
        <f>ROUNDUP(((L62-L56)/L61),0)</f>
        <v>258</v>
      </c>
      <c r="M63" s="5">
        <f>(ROUNDUP(((M62-M56)/M61),0))</f>
        <v>150</v>
      </c>
      <c r="N63" s="35">
        <f>ROUNDUP(((N62-N56)/N61),0)</f>
        <v>240</v>
      </c>
      <c r="O63" s="5">
        <f>(ROUNDUP(((O62-O56)/O61),0))</f>
        <v>172</v>
      </c>
      <c r="P63" s="5">
        <f>ROUNDUP(((P62-P56)/P61),0)</f>
        <v>172</v>
      </c>
      <c r="Q63" s="5">
        <f>(ROUNDUP(((Q62-Q56)/Q61),0))</f>
        <v>110</v>
      </c>
      <c r="R63" s="5"/>
      <c r="S63" s="5"/>
    </row>
    <row r="64" spans="1:19" ht="12.75">
      <c r="A64" s="32" t="s">
        <v>17</v>
      </c>
      <c r="B64" s="33" t="s">
        <v>1</v>
      </c>
      <c r="C64" s="34" t="s">
        <v>89</v>
      </c>
      <c r="D64" s="5">
        <f>((D63*D60)*(C16/D54))+$C$12</f>
        <v>7211</v>
      </c>
      <c r="E64" s="5"/>
      <c r="F64" s="5">
        <f>((F63*F60)*(C16/F54))+$C$12</f>
        <v>7213</v>
      </c>
      <c r="G64" s="5"/>
      <c r="H64" s="5">
        <f>H63*H60*(C16/H54)+$C$12</f>
        <v>7229</v>
      </c>
      <c r="I64" s="5"/>
      <c r="J64" s="4">
        <f>J63*J60*(C16/J54)+$C$12</f>
        <v>7247</v>
      </c>
      <c r="K64" s="5"/>
      <c r="L64" s="4">
        <f>L63*L60*(C16/L54)+$C$12</f>
        <v>7253</v>
      </c>
      <c r="M64" s="5"/>
      <c r="N64" s="35">
        <f>N63*N60*(C15/N54)+$C$12</f>
        <v>7236.207207207208</v>
      </c>
      <c r="O64" s="5"/>
      <c r="P64" s="5">
        <f>P63*P60*(C15/P54)+$C$12</f>
        <v>7260.2312312312315</v>
      </c>
      <c r="Q64" s="5"/>
      <c r="R64" s="5"/>
      <c r="S64" s="5"/>
    </row>
    <row r="65" spans="1:19" ht="12.75">
      <c r="A65" s="37" t="s">
        <v>42</v>
      </c>
      <c r="B65" s="38"/>
      <c r="C65" s="39"/>
      <c r="D65" s="5"/>
      <c r="E65" s="5"/>
      <c r="F65" s="5"/>
      <c r="G65" s="5"/>
      <c r="H65" s="5"/>
      <c r="I65" s="5"/>
      <c r="J65" s="4"/>
      <c r="K65" s="5"/>
      <c r="L65" s="4"/>
      <c r="M65" s="5"/>
      <c r="N65" s="35"/>
      <c r="O65" s="5"/>
      <c r="P65" s="5"/>
      <c r="Q65" s="5"/>
      <c r="R65" s="5"/>
      <c r="S65" s="5"/>
    </row>
    <row r="66" spans="1:19" ht="12.75">
      <c r="A66" s="37" t="s">
        <v>62</v>
      </c>
      <c r="B66" s="38" t="s">
        <v>1</v>
      </c>
      <c r="C66" s="39" t="s">
        <v>87</v>
      </c>
      <c r="D66" s="5">
        <f>((D$64/1200)+1)*D54</f>
        <v>233.40524999999997</v>
      </c>
      <c r="E66" s="5"/>
      <c r="F66" s="5">
        <f>((F64/1200)+1)*F54</f>
        <v>233.46075</v>
      </c>
      <c r="G66" s="5"/>
      <c r="H66" s="5">
        <f>((H64/1200)+1)*H54</f>
        <v>233.90474999999998</v>
      </c>
      <c r="I66" s="5"/>
      <c r="J66" s="4">
        <f>((J64/1200)+1)*J54</f>
        <v>234.40425</v>
      </c>
      <c r="K66" s="5"/>
      <c r="L66" s="4">
        <f>((L64/1200)+1)*L54</f>
        <v>234.57074999999998</v>
      </c>
      <c r="M66" s="5"/>
      <c r="N66" s="35">
        <f>((N64/1200)+1)*N54</f>
        <v>234.10475</v>
      </c>
      <c r="O66" s="5"/>
      <c r="P66" s="5">
        <f>((P64/1200)+1)*P54</f>
        <v>234.77141666666665</v>
      </c>
      <c r="Q66" s="5"/>
      <c r="R66" s="5"/>
      <c r="S66" s="5"/>
    </row>
    <row r="67" spans="1:19" ht="12.75">
      <c r="A67" s="37" t="s">
        <v>18</v>
      </c>
      <c r="B67" s="38"/>
      <c r="C67" s="39"/>
      <c r="D67" s="5"/>
      <c r="E67" s="5"/>
      <c r="F67" s="5"/>
      <c r="G67" s="5"/>
      <c r="H67" s="5"/>
      <c r="I67" s="5"/>
      <c r="J67" s="4"/>
      <c r="K67" s="5"/>
      <c r="L67" s="4"/>
      <c r="M67" s="5"/>
      <c r="N67" s="35"/>
      <c r="O67" s="5"/>
      <c r="P67" s="5"/>
      <c r="Q67" s="5"/>
      <c r="R67" s="5"/>
      <c r="S67" s="5"/>
    </row>
    <row r="68" spans="1:19" ht="12.75">
      <c r="A68" s="37" t="s">
        <v>49</v>
      </c>
      <c r="B68" s="38" t="s">
        <v>1</v>
      </c>
      <c r="C68" s="39" t="s">
        <v>88</v>
      </c>
      <c r="D68" s="5">
        <f>D66*C12</f>
        <v>6768.752249999999</v>
      </c>
      <c r="E68" s="5"/>
      <c r="F68" s="5">
        <f>F66*C12</f>
        <v>6770.36175</v>
      </c>
      <c r="G68" s="5"/>
      <c r="H68" s="5">
        <f>H66*C12</f>
        <v>6783.237749999999</v>
      </c>
      <c r="I68" s="5"/>
      <c r="J68" s="4">
        <f>J66*C12</f>
        <v>6797.72325</v>
      </c>
      <c r="K68" s="5"/>
      <c r="L68" s="4">
        <f>L66*C12</f>
        <v>6802.55175</v>
      </c>
      <c r="M68" s="5"/>
      <c r="N68" s="35">
        <f>N66*C12</f>
        <v>6789.0377499999995</v>
      </c>
      <c r="O68" s="5"/>
      <c r="P68" s="5">
        <f>P66*C12</f>
        <v>6808.3710833333325</v>
      </c>
      <c r="Q68" s="5"/>
      <c r="R68" s="5"/>
      <c r="S68" s="5"/>
    </row>
    <row r="69" spans="1:19" ht="12.75">
      <c r="A69" s="37" t="s">
        <v>23</v>
      </c>
      <c r="B69" s="38" t="s">
        <v>1</v>
      </c>
      <c r="C69" s="39" t="s">
        <v>16</v>
      </c>
      <c r="D69" s="5">
        <f>ROUND(((D62-(D68*8))/D61),0)</f>
        <v>500</v>
      </c>
      <c r="E69" s="5"/>
      <c r="F69" s="5">
        <f>ROUND(((F62-(F68*8))/F61),0)</f>
        <v>438</v>
      </c>
      <c r="G69" s="5"/>
      <c r="H69" s="5">
        <f>ROUND(((H62-(H68*8))/H61),0)</f>
        <v>292</v>
      </c>
      <c r="I69" s="5"/>
      <c r="J69" s="4">
        <f>ROUND(((J62-(J68*8))/J61),0)</f>
        <v>389</v>
      </c>
      <c r="K69" s="5"/>
      <c r="L69" s="4">
        <f>ROUND(((L62-(L68*8))/L61),0)</f>
        <v>250</v>
      </c>
      <c r="M69" s="5"/>
      <c r="N69" s="35">
        <f>ROUND(((N62-(N68*8))/N61),0)</f>
        <v>233</v>
      </c>
      <c r="O69" s="5"/>
      <c r="P69" s="5">
        <f>ROUND(((P62-(P68*8))/P61),0)</f>
        <v>167</v>
      </c>
      <c r="Q69" s="5"/>
      <c r="R69" s="5"/>
      <c r="S69" s="5"/>
    </row>
    <row r="70" spans="1:19" ht="12.75">
      <c r="A70" s="32" t="s">
        <v>19</v>
      </c>
      <c r="B70" s="33" t="s">
        <v>1</v>
      </c>
      <c r="C70" s="34" t="s">
        <v>20</v>
      </c>
      <c r="D70" s="1">
        <f>ROUND(((D69*64000)/D62),2)</f>
        <v>16.67</v>
      </c>
      <c r="E70" s="1">
        <f>ROUND(((E63*64000)/E62),2)</f>
        <v>8</v>
      </c>
      <c r="F70" s="1">
        <f>ROUND(((F69*64000)/F62),2)</f>
        <v>14.6</v>
      </c>
      <c r="G70" s="1">
        <f>ROUND(((G63*64000)/G62),2)</f>
        <v>6.67</v>
      </c>
      <c r="H70" s="1">
        <f>ROUND(((H69*64000)/H62),2)</f>
        <v>9.73</v>
      </c>
      <c r="I70" s="1">
        <f>ROUND(((I63*64000)/I62),2)</f>
        <v>5.47</v>
      </c>
      <c r="J70" s="2">
        <f>ROUND(((J69*64000)/J62),2)</f>
        <v>12.97</v>
      </c>
      <c r="K70" s="1">
        <f>ROUND(((K63*64000)/K62),2)</f>
        <v>6.33</v>
      </c>
      <c r="L70" s="2">
        <f>ROUND(((L69*64000)/L62),2)</f>
        <v>8.33</v>
      </c>
      <c r="M70" s="1">
        <f>ROUND(((M63*64000)/M62),2)</f>
        <v>5</v>
      </c>
      <c r="N70" s="3">
        <f>ROUND(((N69*64000)/N62),2)</f>
        <v>7.77</v>
      </c>
      <c r="O70" s="1">
        <f>ROUND(((O63*64000)/O62),2)</f>
        <v>5.73</v>
      </c>
      <c r="P70" s="1">
        <f>ROUND(((P69*64000)/P62),2)</f>
        <v>5.57</v>
      </c>
      <c r="Q70" s="1">
        <f>ROUND(((Q63*64000)/Q62),2)</f>
        <v>3.67</v>
      </c>
      <c r="R70" s="1"/>
      <c r="S70" s="1"/>
    </row>
    <row r="71" spans="1:19" ht="12.75">
      <c r="A71" s="40" t="s">
        <v>33</v>
      </c>
      <c r="D71" s="7" t="s">
        <v>47</v>
      </c>
      <c r="E71" s="7" t="s">
        <v>47</v>
      </c>
      <c r="F71" s="7" t="s">
        <v>47</v>
      </c>
      <c r="G71" s="7" t="s">
        <v>47</v>
      </c>
      <c r="H71" s="7" t="s">
        <v>47</v>
      </c>
      <c r="I71" s="7" t="s">
        <v>47</v>
      </c>
      <c r="J71" s="41" t="s">
        <v>47</v>
      </c>
      <c r="K71" s="7" t="s">
        <v>47</v>
      </c>
      <c r="L71" s="24">
        <v>4.2</v>
      </c>
      <c r="M71" s="7" t="s">
        <v>47</v>
      </c>
      <c r="N71" s="42" t="s">
        <v>47</v>
      </c>
      <c r="O71" s="7" t="s">
        <v>47</v>
      </c>
      <c r="P71" s="23">
        <v>4</v>
      </c>
      <c r="Q71" s="7" t="s">
        <v>47</v>
      </c>
      <c r="R71" s="7"/>
      <c r="S71" s="23"/>
    </row>
    <row r="72" spans="1:17" ht="12.75">
      <c r="A72" s="40" t="s">
        <v>97</v>
      </c>
      <c r="D72" s="23">
        <f>(30-$C29)+(1200*8/D62)*1000</f>
        <v>5</v>
      </c>
      <c r="E72" s="23">
        <f>($C33-$C29)+(E59*8/E62*1000)</f>
        <v>30.25</v>
      </c>
      <c r="F72" s="23">
        <f>(30-$C29)+(1200*8/F62)*1000</f>
        <v>5</v>
      </c>
      <c r="G72" s="23">
        <f>($C33-$C29)+(G59*8/G62*1000)</f>
        <v>30.3</v>
      </c>
      <c r="H72" s="23">
        <f>(30-$C29)+(1200*8/H62)*1000</f>
        <v>5</v>
      </c>
      <c r="I72" s="43">
        <f>($C33-$C29)+(I59*8/I62*1000)</f>
        <v>30.366666666666667</v>
      </c>
      <c r="J72" s="23">
        <f>(30-$C29)+(1200*8/J62)*1000</f>
        <v>5</v>
      </c>
      <c r="K72" s="43">
        <f>($C33-$C29)+(K59*8/K62*1000)</f>
        <v>30.316666666666666</v>
      </c>
      <c r="L72" s="23">
        <f>(30-$C29)+(1200*8/L62)*1000</f>
        <v>5</v>
      </c>
      <c r="M72" s="23">
        <f>($C33-$C29)+(M59*8/M62*1000)</f>
        <v>30.4</v>
      </c>
      <c r="N72" s="23">
        <f>(30-$C30)+(1200*8/N62)*1000</f>
        <v>25</v>
      </c>
      <c r="O72" s="23">
        <f>($C33-$C30)+(O59*8/O62*1000)</f>
        <v>50.35</v>
      </c>
      <c r="P72" s="23">
        <f>(30-$C30)+(1200*8/P62)*1000</f>
        <v>25</v>
      </c>
      <c r="Q72" s="23">
        <f>($C33-$C30)+(Q59*8/Q62*1000)</f>
        <v>50.55</v>
      </c>
    </row>
    <row r="73" ht="12.75">
      <c r="N73" s="19"/>
    </row>
    <row r="74" spans="1:14" ht="12.75">
      <c r="A74" s="9" t="s">
        <v>79</v>
      </c>
      <c r="N74" s="19"/>
    </row>
    <row r="75" ht="12.75">
      <c r="A75" s="9" t="s">
        <v>80</v>
      </c>
    </row>
    <row r="76" ht="12.75">
      <c r="A76" s="9" t="s">
        <v>81</v>
      </c>
    </row>
    <row r="77" ht="12.75">
      <c r="A77" s="9" t="s">
        <v>82</v>
      </c>
    </row>
    <row r="79" ht="12.75">
      <c r="A79" s="9" t="s">
        <v>83</v>
      </c>
    </row>
    <row r="80" ht="12.75">
      <c r="A80" s="9" t="s">
        <v>85</v>
      </c>
    </row>
    <row r="83" ht="12.75">
      <c r="D83" s="5">
        <f>((D$64/1200)+1)</f>
        <v>7.009166666666666</v>
      </c>
    </row>
  </sheetData>
  <printOptions gridLines="1"/>
  <pageMargins left="0.7480314960629921" right="0.7480314960629921" top="0.984251968503937" bottom="0.984251968503937" header="0.5118110236220472" footer="0.5118110236220472"/>
  <pageSetup fitToHeight="1" fitToWidth="1" horizontalDpi="600" verticalDpi="600" orientation="landscape" paperSize="8" scale="56" r:id="rId1"/>
  <headerFooter alignWithMargins="0">
    <oddHeader>&amp;CINx Codec Bandwidth Calculations</oddHeader>
    <oddFooter>&amp;LDate: 10/01/01&amp;RIssue: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Phone Control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BillOH</dc:creator>
  <cp:keywords/>
  <dc:description/>
  <cp:lastModifiedBy>Rubin</cp:lastModifiedBy>
  <cp:lastPrinted>2003-03-05T16:12:36Z</cp:lastPrinted>
  <dcterms:created xsi:type="dcterms:W3CDTF">2001-01-09T18:17:47Z</dcterms:created>
  <dcterms:modified xsi:type="dcterms:W3CDTF">2003-03-05T16:29:43Z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